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-waarde\ORIGINALS\"/>
    </mc:Choice>
  </mc:AlternateContent>
  <xr:revisionPtr revIDLastSave="0" documentId="13_ncr:1_{B33CA606-D444-4E91-BD09-F17BA9724756}" xr6:coauthVersionLast="43" xr6:coauthVersionMax="43" xr10:uidLastSave="{00000000-0000-0000-0000-000000000000}"/>
  <bookViews>
    <workbookView xWindow="-120" yWindow="-120" windowWidth="29040" windowHeight="15840" xr2:uid="{B345305D-E3C3-45FC-9388-E180D282EBBC}"/>
  </bookViews>
  <sheets>
    <sheet name="Blad1" sheetId="1" r:id="rId1"/>
  </sheets>
  <definedNames>
    <definedName name="_xlnm.Print_Area" localSheetId="0">Blad1!$A$1:$F$63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M33" i="1" l="1"/>
  <c r="O36" i="1" s="1"/>
  <c r="M36" i="1" l="1"/>
  <c r="M11" i="1"/>
  <c r="M7" i="1"/>
  <c r="D42" i="1"/>
  <c r="C50" i="1"/>
  <c r="C49" i="1"/>
  <c r="C28" i="1"/>
  <c r="F36" i="1"/>
  <c r="B63" i="1"/>
  <c r="M39" i="1" l="1"/>
  <c r="E48" i="1" s="1"/>
  <c r="P9" i="1"/>
  <c r="C52" i="1"/>
  <c r="E52" i="1" s="1"/>
  <c r="E36" i="1"/>
  <c r="F39" i="1"/>
  <c r="E39" i="1"/>
  <c r="E38" i="1"/>
  <c r="F38" i="1"/>
  <c r="M4" i="1"/>
  <c r="D48" i="1"/>
  <c r="D47" i="1"/>
  <c r="D50" i="1"/>
  <c r="D49" i="1"/>
  <c r="M14" i="1"/>
  <c r="D58" i="1" l="1"/>
  <c r="F48" i="1"/>
  <c r="D52" i="1"/>
  <c r="B40" i="1" s="1"/>
  <c r="H47" i="1"/>
  <c r="H49" i="1" s="1"/>
  <c r="E49" i="1" s="1"/>
  <c r="F49" i="1" s="1"/>
  <c r="H51" i="1"/>
  <c r="E51" i="1" s="1"/>
  <c r="E58" i="1" l="1"/>
  <c r="F58" i="1" s="1"/>
  <c r="D51" i="1"/>
  <c r="F52" i="1"/>
  <c r="E47" i="1"/>
  <c r="F47" i="1" s="1"/>
  <c r="H50" i="1"/>
  <c r="E50" i="1" s="1"/>
  <c r="F50" i="1" s="1"/>
  <c r="D53" i="1" l="1"/>
  <c r="F51" i="1"/>
  <c r="F53" i="1" s="1"/>
  <c r="B62" i="1" l="1"/>
</calcChain>
</file>

<file path=xl/sharedStrings.xml><?xml version="1.0" encoding="utf-8"?>
<sst xmlns="http://schemas.openxmlformats.org/spreadsheetml/2006/main" count="93" uniqueCount="72">
  <si>
    <t>meranti</t>
  </si>
  <si>
    <t>NE-grenen</t>
  </si>
  <si>
    <t>Tricoya</t>
  </si>
  <si>
    <t>λ</t>
  </si>
  <si>
    <t>hangstijl</t>
  </si>
  <si>
    <t>deurbreedte</t>
  </si>
  <si>
    <t>deurhoogte</t>
  </si>
  <si>
    <t>deurdikte</t>
  </si>
  <si>
    <t>dekplaat</t>
  </si>
  <si>
    <t>vulling</t>
  </si>
  <si>
    <t>isolerend</t>
  </si>
  <si>
    <t>randhout</t>
  </si>
  <si>
    <t>deurblad</t>
  </si>
  <si>
    <t>bovendorpel</t>
  </si>
  <si>
    <t>onderdorpel</t>
  </si>
  <si>
    <t>glasvak</t>
  </si>
  <si>
    <t>Rc</t>
  </si>
  <si>
    <t>R;overgangsweerstanden</t>
  </si>
  <si>
    <t>R;dekplaten</t>
  </si>
  <si>
    <t>R;randhout</t>
  </si>
  <si>
    <t>R;vulling</t>
  </si>
  <si>
    <t>A*Uc (W/K)</t>
  </si>
  <si>
    <t>gestabiliseerde sluitstijl</t>
  </si>
  <si>
    <t>30min BRW</t>
  </si>
  <si>
    <t>aantal</t>
  </si>
  <si>
    <t>Beglazing</t>
  </si>
  <si>
    <t>Psi</t>
  </si>
  <si>
    <t>L*Psi (W/K)</t>
  </si>
  <si>
    <t>Deurgegevens</t>
  </si>
  <si>
    <t>Projectgegevens</t>
  </si>
  <si>
    <t>Warmteverliezen per onderdeel</t>
  </si>
  <si>
    <t>Warmteverlies omtrek glas</t>
  </si>
  <si>
    <t>Resultaat</t>
  </si>
  <si>
    <t>BEREKENING Up - SAMENGESTELDE DEUREN</t>
  </si>
  <si>
    <t>conform NEN 1068:2012 / NEN-EN-ISO 10077-1:2006 / NEN-EN-ISO 10077-2:2012</t>
  </si>
  <si>
    <t>project</t>
  </si>
  <si>
    <t>deurmodel</t>
  </si>
  <si>
    <t>merk</t>
  </si>
  <si>
    <t>datum</t>
  </si>
  <si>
    <t>Afstandhouder</t>
  </si>
  <si>
    <t>warm-edge</t>
  </si>
  <si>
    <t>U;glas</t>
  </si>
  <si>
    <t>Psi;afstandhouder</t>
  </si>
  <si>
    <t>U;p</t>
  </si>
  <si>
    <t>A;deurblad</t>
  </si>
  <si>
    <t>extra bovenregel</t>
  </si>
  <si>
    <t>extra onderregel</t>
  </si>
  <si>
    <t>nee</t>
  </si>
  <si>
    <t>Okoumé</t>
  </si>
  <si>
    <r>
      <t>Uc (W/m</t>
    </r>
    <r>
      <rPr>
        <sz val="9"/>
        <color rgb="FF000000"/>
        <rFont val="Verdana"/>
        <family val="2"/>
      </rPr>
      <t>²</t>
    </r>
    <r>
      <rPr>
        <i/>
        <sz val="9"/>
        <color rgb="FF000000"/>
        <rFont val="Verdana"/>
        <family val="2"/>
      </rPr>
      <t>K)</t>
    </r>
  </si>
  <si>
    <t>A (m²)</t>
  </si>
  <si>
    <r>
      <t>omtrek (m</t>
    </r>
    <r>
      <rPr>
        <sz val="9"/>
        <color theme="1"/>
        <rFont val="Verdana"/>
        <family val="2"/>
      </rPr>
      <t>¹</t>
    </r>
    <r>
      <rPr>
        <i/>
        <sz val="9"/>
        <color theme="1"/>
        <rFont val="Verdana"/>
        <family val="2"/>
      </rPr>
      <t>)</t>
    </r>
  </si>
  <si>
    <t>hoogte (mm)</t>
  </si>
  <si>
    <t>breedte (mm)</t>
  </si>
  <si>
    <t>m¹</t>
  </si>
  <si>
    <t>m²</t>
  </si>
  <si>
    <t xml:space="preserve"> W/m²K </t>
  </si>
  <si>
    <t>mm</t>
  </si>
  <si>
    <t>standaard aluminium</t>
  </si>
  <si>
    <t>uitgangspunten + onderliggende berekeningen</t>
  </si>
  <si>
    <t>rond</t>
  </si>
  <si>
    <t>recht</t>
  </si>
  <si>
    <t>W/m²K</t>
  </si>
  <si>
    <t>W/m¹K</t>
  </si>
  <si>
    <t>U;fr</t>
  </si>
  <si>
    <t>gekozen deurdikte</t>
  </si>
  <si>
    <t>U;fr bij Tricoya dekplaat</t>
  </si>
  <si>
    <t>U;fr bij Okoumé dekplaat</t>
  </si>
  <si>
    <t>U;fr reken</t>
  </si>
  <si>
    <t>A;deurblad zonder frame</t>
  </si>
  <si>
    <t>U-frame gestabiliseerde sluitstijl</t>
  </si>
  <si>
    <t>programmaversie 22-02-2019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</si>
</sst>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#\ &quot;mm&quot;"/>
    <numFmt numFmtId="166" formatCode="#\ &quot;stuk&quot;"/>
    <numFmt numFmtId="167" formatCode="#\ &quot;stuk(s)&quot;"/>
    <numFmt numFmtId="168" formatCode="0.0"/>
  </numFmts>
  <fonts count="12" x14ac:knownFonts="1"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i/>
      <sz val="9"/>
      <color theme="0"/>
      <name val="Verdana"/>
      <family val="2"/>
    </font>
    <font>
      <b/>
      <sz val="14"/>
      <color theme="1"/>
      <name val="Verdana"/>
      <family val="2"/>
    </font>
    <font>
      <i/>
      <sz val="9"/>
      <color theme="1"/>
      <name val="Verdana"/>
      <family val="2"/>
    </font>
    <font>
      <i/>
      <sz val="9"/>
      <color rgb="FF000000"/>
      <name val="Verdana"/>
      <family val="2"/>
    </font>
    <font>
      <b/>
      <i/>
      <sz val="9"/>
      <color theme="0"/>
      <name val="Verdana"/>
      <family val="2"/>
    </font>
    <font>
      <b/>
      <sz val="9"/>
      <color rgb="FFFF0000"/>
      <name val="Verdana"/>
      <family val="2"/>
    </font>
    <font>
      <b/>
      <sz val="9"/>
      <color theme="1"/>
      <name val="Verdana"/>
      <family val="2"/>
    </font>
    <font>
      <sz val="7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5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8" xfId="0" applyFont="1" applyBorder="1"/>
    <xf numFmtId="164" fontId="2" fillId="0" borderId="0" xfId="0" applyNumberFormat="1" applyFont="1" applyBorder="1" applyAlignment="1">
      <alignment horizontal="left"/>
    </xf>
    <xf numFmtId="0" fontId="2" fillId="0" borderId="9" xfId="0" applyFont="1" applyBorder="1"/>
    <xf numFmtId="0" fontId="2" fillId="0" borderId="0" xfId="0" applyFont="1" applyProtection="1"/>
    <xf numFmtId="0" fontId="2" fillId="2" borderId="3" xfId="0" applyFont="1" applyFill="1" applyBorder="1" applyProtection="1"/>
    <xf numFmtId="2" fontId="2" fillId="0" borderId="0" xfId="0" applyNumberFormat="1" applyFont="1" applyProtection="1"/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0" fontId="6" fillId="0" borderId="0" xfId="0" applyFont="1" applyAlignment="1" applyProtection="1">
      <alignment horizontal="left"/>
    </xf>
    <xf numFmtId="2" fontId="2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165" fontId="2" fillId="0" borderId="0" xfId="0" applyNumberFormat="1" applyFont="1" applyAlignment="1" applyProtection="1">
      <alignment horizontal="left"/>
    </xf>
    <xf numFmtId="166" fontId="2" fillId="0" borderId="0" xfId="0" applyNumberFormat="1" applyFont="1" applyAlignment="1" applyProtection="1">
      <alignment horizontal="left"/>
    </xf>
    <xf numFmtId="167" fontId="2" fillId="0" borderId="0" xfId="0" applyNumberFormat="1" applyFont="1" applyAlignment="1" applyProtection="1">
      <alignment horizontal="left"/>
    </xf>
    <xf numFmtId="2" fontId="2" fillId="0" borderId="1" xfId="0" applyNumberFormat="1" applyFont="1" applyBorder="1" applyAlignment="1" applyProtection="1">
      <alignment horizontal="left"/>
    </xf>
    <xf numFmtId="0" fontId="9" fillId="0" borderId="0" xfId="0" applyFont="1" applyProtection="1"/>
    <xf numFmtId="0" fontId="6" fillId="0" borderId="0" xfId="0" applyFont="1" applyProtection="1"/>
    <xf numFmtId="164" fontId="2" fillId="0" borderId="0" xfId="0" applyNumberFormat="1" applyFont="1" applyProtection="1"/>
    <xf numFmtId="0" fontId="2" fillId="0" borderId="0" xfId="0" applyFont="1" applyAlignment="1" applyProtection="1">
      <alignment horizontal="right"/>
    </xf>
    <xf numFmtId="2" fontId="5" fillId="0" borderId="0" xfId="0" applyNumberFormat="1" applyFont="1" applyProtection="1"/>
    <xf numFmtId="164" fontId="2" fillId="0" borderId="12" xfId="0" applyNumberFormat="1" applyFont="1" applyBorder="1" applyAlignment="1">
      <alignment horizontal="left"/>
    </xf>
    <xf numFmtId="164" fontId="2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0" fillId="0" borderId="8" xfId="0" applyFont="1" applyBorder="1"/>
    <xf numFmtId="0" fontId="11" fillId="0" borderId="0" xfId="0" applyFont="1" applyProtection="1"/>
    <xf numFmtId="0" fontId="2" fillId="0" borderId="10" xfId="0" applyFont="1" applyBorder="1" applyAlignment="1">
      <alignment horizontal="left"/>
    </xf>
    <xf numFmtId="14" fontId="2" fillId="2" borderId="3" xfId="0" applyNumberFormat="1" applyFont="1" applyFill="1" applyBorder="1" applyAlignment="1" applyProtection="1">
      <alignment horizontal="left"/>
    </xf>
    <xf numFmtId="0" fontId="10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0" xfId="0" applyNumberFormat="1" applyFont="1" applyFill="1" applyAlignment="1" applyProtection="1">
      <alignment horizontal="right"/>
      <protection locked="0"/>
    </xf>
    <xf numFmtId="0" fontId="2" fillId="2" borderId="3" xfId="0" applyNumberFormat="1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168" fontId="2" fillId="2" borderId="4" xfId="0" applyNumberFormat="1" applyFont="1" applyFill="1" applyBorder="1" applyAlignment="1" applyProtection="1">
      <alignment horizontal="left"/>
      <protection locked="0"/>
    </xf>
    <xf numFmtId="0" fontId="8" fillId="3" borderId="0" xfId="0" applyFont="1" applyFill="1" applyProtection="1"/>
    <xf numFmtId="0" fontId="4" fillId="3" borderId="0" xfId="0" applyFont="1" applyFill="1" applyProtection="1"/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4783</xdr:rowOff>
    </xdr:from>
    <xdr:to>
      <xdr:col>2</xdr:col>
      <xdr:colOff>256561</xdr:colOff>
      <xdr:row>6</xdr:row>
      <xdr:rowOff>123440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7999CCA-5EAF-44E8-A956-13C65C1862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18" t="8604" r="10216" b="6933"/>
        <a:stretch/>
      </xdr:blipFill>
      <xdr:spPr>
        <a:xfrm>
          <a:off x="0" y="4783"/>
          <a:ext cx="2333011" cy="975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0C6D6-361C-4623-A9CA-58EB54EBA2CB}">
  <dimension ref="A1:U63"/>
  <sheetViews>
    <sheetView tabSelected="1" zoomScaleNormal="100" workbookViewId="0">
      <selection activeCell="B17" sqref="B17:D17"/>
    </sheetView>
  </sheetViews>
  <sheetFormatPr defaultColWidth="9.140625" defaultRowHeight="11.25" x14ac:dyDescent="0.15"/>
  <cols>
    <col min="1" max="1" width="19.42578125" style="1" customWidth="1"/>
    <col min="2" max="2" width="11.7109375" style="1" customWidth="1"/>
    <col min="3" max="3" width="13.140625" style="1" customWidth="1"/>
    <col min="4" max="4" width="12.42578125" style="1" customWidth="1"/>
    <col min="5" max="5" width="11.42578125" style="1" customWidth="1"/>
    <col min="6" max="6" width="16.5703125" style="1" customWidth="1"/>
    <col min="7" max="7" width="12.5703125" style="1" hidden="1" customWidth="1"/>
    <col min="8" max="8" width="9.140625" style="1" hidden="1" customWidth="1"/>
    <col min="9" max="9" width="11.7109375" style="1" hidden="1" customWidth="1"/>
    <col min="10" max="10" width="19.42578125" style="1" hidden="1" customWidth="1"/>
    <col min="11" max="11" width="10.5703125" style="1" hidden="1" customWidth="1"/>
    <col min="12" max="12" width="11.5703125" style="1" hidden="1" customWidth="1"/>
    <col min="13" max="13" width="15" style="2" hidden="1" customWidth="1"/>
    <col min="14" max="14" width="8.7109375" style="1" hidden="1" customWidth="1"/>
    <col min="15" max="15" width="10.140625" style="1" hidden="1" customWidth="1"/>
    <col min="16" max="16" width="7.140625" style="1" hidden="1" customWidth="1"/>
    <col min="17" max="17" width="21.28515625" style="1" hidden="1" customWidth="1"/>
    <col min="18" max="19" width="9.140625" style="1" customWidth="1"/>
    <col min="20" max="20" width="5" style="1" customWidth="1"/>
    <col min="21" max="21" width="21.7109375" style="1" customWidth="1"/>
    <col min="22" max="26" width="9.140625" style="1" customWidth="1"/>
    <col min="27" max="16384" width="9.140625" style="1"/>
  </cols>
  <sheetData>
    <row r="1" spans="1:17" x14ac:dyDescent="0.15">
      <c r="A1" s="13"/>
      <c r="B1" s="13"/>
      <c r="C1" s="13"/>
      <c r="D1" s="13"/>
      <c r="F1" s="38" t="s">
        <v>71</v>
      </c>
    </row>
    <row r="2" spans="1:17" x14ac:dyDescent="0.15">
      <c r="A2" s="13"/>
      <c r="B2" s="13"/>
      <c r="C2" s="13"/>
      <c r="D2" s="13"/>
      <c r="E2" s="13"/>
      <c r="F2" s="13"/>
      <c r="H2" s="41" t="s">
        <v>59</v>
      </c>
      <c r="I2" s="5"/>
      <c r="J2" s="5"/>
      <c r="K2" s="5"/>
      <c r="L2" s="5"/>
      <c r="M2" s="5"/>
      <c r="N2" s="5"/>
      <c r="O2" s="5"/>
      <c r="P2" s="5"/>
      <c r="Q2" s="42"/>
    </row>
    <row r="3" spans="1:17" x14ac:dyDescent="0.15">
      <c r="A3" s="13"/>
      <c r="B3" s="13"/>
      <c r="C3" s="13"/>
      <c r="D3" s="13"/>
      <c r="E3" s="13"/>
      <c r="F3" s="13"/>
      <c r="H3" s="43" t="s">
        <v>7</v>
      </c>
      <c r="I3" s="9"/>
      <c r="J3" s="9" t="s">
        <v>11</v>
      </c>
      <c r="K3" s="9" t="s">
        <v>3</v>
      </c>
      <c r="L3" s="9"/>
      <c r="M3" s="9" t="s">
        <v>19</v>
      </c>
      <c r="N3" s="9"/>
      <c r="O3" s="9"/>
      <c r="P3" s="9" t="s">
        <v>39</v>
      </c>
      <c r="Q3" s="36"/>
    </row>
    <row r="4" spans="1:17" x14ac:dyDescent="0.15">
      <c r="A4" s="13"/>
      <c r="B4" s="13"/>
      <c r="C4" s="13"/>
      <c r="D4" s="13"/>
      <c r="E4" s="13"/>
      <c r="F4" s="13"/>
      <c r="H4" s="43">
        <v>38</v>
      </c>
      <c r="I4" s="9"/>
      <c r="J4" s="9" t="s">
        <v>1</v>
      </c>
      <c r="K4" s="9">
        <v>0.13</v>
      </c>
      <c r="L4" s="9"/>
      <c r="M4" s="11">
        <f>((B26-12)/1000)/(VLOOKUP(B29,J4:K6,2,FALSE))</f>
        <v>0.32307692307692309</v>
      </c>
      <c r="N4" s="9"/>
      <c r="O4" s="9"/>
      <c r="P4" s="44">
        <v>0.08</v>
      </c>
      <c r="Q4" s="36" t="s">
        <v>58</v>
      </c>
    </row>
    <row r="5" spans="1:17" x14ac:dyDescent="0.15">
      <c r="A5" s="13"/>
      <c r="B5" s="13"/>
      <c r="C5" s="13"/>
      <c r="D5" s="13"/>
      <c r="E5" s="13"/>
      <c r="F5" s="13"/>
      <c r="H5" s="43">
        <v>54</v>
      </c>
      <c r="I5" s="9"/>
      <c r="J5" s="9" t="s">
        <v>0</v>
      </c>
      <c r="K5" s="9">
        <v>0.13</v>
      </c>
      <c r="L5" s="9"/>
      <c r="M5" s="9"/>
      <c r="N5" s="9"/>
      <c r="O5" s="9"/>
      <c r="P5" s="44">
        <v>0.06</v>
      </c>
      <c r="Q5" s="36" t="s">
        <v>40</v>
      </c>
    </row>
    <row r="6" spans="1:17" x14ac:dyDescent="0.15">
      <c r="A6" s="13"/>
      <c r="B6" s="13"/>
      <c r="C6" s="13"/>
      <c r="D6" s="13"/>
      <c r="E6" s="13"/>
      <c r="F6" s="13"/>
      <c r="H6" s="43">
        <v>67</v>
      </c>
      <c r="I6" s="9"/>
      <c r="J6" s="9"/>
      <c r="K6" s="9"/>
      <c r="L6" s="9"/>
      <c r="M6" s="9" t="s">
        <v>20</v>
      </c>
      <c r="N6" s="9"/>
      <c r="O6" s="9"/>
      <c r="P6" s="9"/>
      <c r="Q6" s="36"/>
    </row>
    <row r="7" spans="1:17" x14ac:dyDescent="0.15">
      <c r="A7" s="13"/>
      <c r="B7" s="13"/>
      <c r="C7" s="13"/>
      <c r="D7" s="13"/>
      <c r="E7" s="13"/>
      <c r="F7" s="13"/>
      <c r="H7" s="43">
        <v>80</v>
      </c>
      <c r="I7" s="9"/>
      <c r="J7" s="9" t="s">
        <v>9</v>
      </c>
      <c r="K7" s="9" t="s">
        <v>3</v>
      </c>
      <c r="L7" s="9"/>
      <c r="M7" s="11">
        <f>((B26-12)/1000)/(VLOOKUP(B28,J8:K9,2,FALSE))</f>
        <v>1.2352941176470589</v>
      </c>
      <c r="N7" s="9"/>
      <c r="O7" s="9"/>
      <c r="P7" s="9"/>
      <c r="Q7" s="36"/>
    </row>
    <row r="8" spans="1:17" x14ac:dyDescent="0.15">
      <c r="A8" s="13"/>
      <c r="B8" s="13"/>
      <c r="C8" s="13"/>
      <c r="D8" s="13"/>
      <c r="E8" s="13"/>
      <c r="F8" s="13"/>
      <c r="H8" s="43"/>
      <c r="I8" s="9"/>
      <c r="J8" s="9" t="s">
        <v>10</v>
      </c>
      <c r="K8" s="9">
        <v>3.4000000000000002E-2</v>
      </c>
      <c r="L8" s="9"/>
      <c r="M8" s="9"/>
      <c r="N8" s="9"/>
      <c r="O8" s="9"/>
      <c r="P8" s="9" t="s">
        <v>69</v>
      </c>
      <c r="Q8" s="36"/>
    </row>
    <row r="9" spans="1:17" x14ac:dyDescent="0.15">
      <c r="A9" s="13"/>
      <c r="B9" s="13"/>
      <c r="C9" s="13"/>
      <c r="D9" s="13"/>
      <c r="E9" s="13"/>
      <c r="F9" s="13"/>
      <c r="H9" s="43"/>
      <c r="I9" s="9"/>
      <c r="J9" s="9" t="s">
        <v>23</v>
      </c>
      <c r="K9" s="9">
        <v>3.6999999999999998E-2</v>
      </c>
      <c r="L9" s="9"/>
      <c r="M9" s="9"/>
      <c r="N9" s="9"/>
      <c r="O9" s="9"/>
      <c r="P9" s="11">
        <f>((B24-C47-C48)*(B25-C49-C50)/1000000)</f>
        <v>1.7086300000000001</v>
      </c>
      <c r="Q9" s="36"/>
    </row>
    <row r="10" spans="1:17" x14ac:dyDescent="0.15">
      <c r="A10" s="13"/>
      <c r="B10" s="13"/>
      <c r="C10" s="13"/>
      <c r="D10" s="13"/>
      <c r="E10" s="13"/>
      <c r="F10" s="13"/>
      <c r="H10" s="43"/>
      <c r="I10" s="9"/>
      <c r="J10" s="9"/>
      <c r="K10" s="9"/>
      <c r="L10" s="9"/>
      <c r="M10" s="9" t="s">
        <v>18</v>
      </c>
      <c r="N10" s="9"/>
      <c r="O10" s="9"/>
      <c r="P10" s="9"/>
      <c r="Q10" s="36"/>
    </row>
    <row r="11" spans="1:17" x14ac:dyDescent="0.15">
      <c r="A11" s="13" t="s">
        <v>33</v>
      </c>
      <c r="B11" s="13"/>
      <c r="C11" s="13"/>
      <c r="D11" s="13"/>
      <c r="E11" s="13"/>
      <c r="F11" s="13"/>
      <c r="H11" s="43"/>
      <c r="I11" s="9"/>
      <c r="J11" s="9" t="s">
        <v>8</v>
      </c>
      <c r="K11" s="9" t="s">
        <v>3</v>
      </c>
      <c r="L11" s="9"/>
      <c r="M11" s="11">
        <f>0.012/(VLOOKUP(B27,J12:K13,2,))</f>
        <v>0.11214953271028037</v>
      </c>
      <c r="N11" s="9"/>
      <c r="O11" s="9"/>
      <c r="P11" s="9"/>
      <c r="Q11" s="36"/>
    </row>
    <row r="12" spans="1:17" x14ac:dyDescent="0.15">
      <c r="A12" s="13" t="s">
        <v>34</v>
      </c>
      <c r="B12" s="13"/>
      <c r="C12" s="13"/>
      <c r="D12" s="13"/>
      <c r="E12" s="13"/>
      <c r="F12" s="13"/>
      <c r="H12" s="43"/>
      <c r="I12" s="9"/>
      <c r="J12" s="9" t="s">
        <v>2</v>
      </c>
      <c r="K12" s="9">
        <v>0.107</v>
      </c>
      <c r="L12" s="9"/>
      <c r="M12" s="9"/>
      <c r="N12" s="9"/>
      <c r="O12" s="9"/>
      <c r="P12" s="9"/>
      <c r="Q12" s="36"/>
    </row>
    <row r="13" spans="1:17" x14ac:dyDescent="0.15">
      <c r="A13" s="13"/>
      <c r="B13" s="13"/>
      <c r="C13" s="13"/>
      <c r="D13" s="13"/>
      <c r="E13" s="13"/>
      <c r="F13" s="13"/>
      <c r="H13" s="43"/>
      <c r="I13" s="9"/>
      <c r="J13" s="9" t="s">
        <v>48</v>
      </c>
      <c r="K13" s="11">
        <v>0.13</v>
      </c>
      <c r="L13" s="9"/>
      <c r="M13" s="9" t="s">
        <v>17</v>
      </c>
      <c r="N13" s="9"/>
      <c r="O13" s="9"/>
      <c r="P13" s="9"/>
      <c r="Q13" s="36"/>
    </row>
    <row r="14" spans="1:17" x14ac:dyDescent="0.15">
      <c r="A14" s="13"/>
      <c r="B14" s="13"/>
      <c r="C14" s="13"/>
      <c r="D14" s="13"/>
      <c r="E14" s="13"/>
      <c r="F14" s="13"/>
      <c r="H14" s="43"/>
      <c r="I14" s="9"/>
      <c r="J14" s="2"/>
      <c r="K14" s="2"/>
      <c r="L14" s="9"/>
      <c r="M14" s="11">
        <f>0.13+0.04</f>
        <v>0.17</v>
      </c>
      <c r="N14" s="9"/>
      <c r="O14" s="9"/>
      <c r="P14" s="9"/>
      <c r="Q14" s="36"/>
    </row>
    <row r="15" spans="1:17" x14ac:dyDescent="0.15">
      <c r="A15" s="13"/>
      <c r="B15" s="13"/>
      <c r="C15" s="13"/>
      <c r="D15" s="13"/>
      <c r="E15" s="13"/>
      <c r="F15" s="13"/>
      <c r="H15" s="43"/>
      <c r="I15" s="9"/>
      <c r="J15" s="2"/>
      <c r="K15" s="2"/>
      <c r="L15" s="9"/>
      <c r="N15" s="2"/>
      <c r="O15" s="9"/>
      <c r="P15" s="9"/>
      <c r="Q15" s="36"/>
    </row>
    <row r="16" spans="1:17" x14ac:dyDescent="0.15">
      <c r="A16" s="53" t="s">
        <v>29</v>
      </c>
      <c r="B16" s="54"/>
      <c r="C16" s="54"/>
      <c r="D16" s="54"/>
      <c r="E16" s="54"/>
      <c r="F16" s="54"/>
      <c r="H16" s="43"/>
      <c r="I16" s="9"/>
      <c r="J16" s="2"/>
      <c r="K16" s="2"/>
      <c r="L16" s="9"/>
      <c r="N16" s="2"/>
      <c r="O16" s="9"/>
      <c r="P16" s="9"/>
      <c r="Q16" s="36"/>
    </row>
    <row r="17" spans="1:17" x14ac:dyDescent="0.15">
      <c r="A17" s="13" t="s">
        <v>35</v>
      </c>
      <c r="B17" s="55"/>
      <c r="C17" s="55"/>
      <c r="D17" s="55"/>
      <c r="E17" s="13"/>
      <c r="F17" s="13"/>
      <c r="H17" s="43"/>
      <c r="I17" s="9"/>
      <c r="J17" s="2"/>
      <c r="K17" s="2"/>
      <c r="L17" s="9"/>
      <c r="N17" s="2"/>
      <c r="O17" s="9"/>
      <c r="P17" s="9"/>
      <c r="Q17" s="36"/>
    </row>
    <row r="18" spans="1:17" ht="14.25" customHeight="1" x14ac:dyDescent="0.15">
      <c r="A18" s="13" t="s">
        <v>36</v>
      </c>
      <c r="B18" s="56"/>
      <c r="C18" s="56"/>
      <c r="D18" s="56"/>
      <c r="E18" s="13"/>
      <c r="F18" s="13"/>
      <c r="H18" s="43"/>
      <c r="I18" s="9"/>
      <c r="J18" s="2"/>
      <c r="K18" s="2"/>
      <c r="L18" s="9"/>
      <c r="N18" s="2"/>
      <c r="O18" s="9"/>
      <c r="P18" s="9"/>
      <c r="Q18" s="36"/>
    </row>
    <row r="19" spans="1:17" ht="14.25" customHeight="1" x14ac:dyDescent="0.15">
      <c r="A19" s="13" t="s">
        <v>37</v>
      </c>
      <c r="B19" s="56"/>
      <c r="C19" s="56"/>
      <c r="D19" s="56"/>
      <c r="E19" s="13"/>
      <c r="F19" s="13"/>
      <c r="H19" s="43"/>
      <c r="I19" s="9"/>
      <c r="J19" s="9"/>
      <c r="K19" s="9"/>
      <c r="L19" s="9"/>
      <c r="N19" s="2"/>
      <c r="O19" s="9"/>
      <c r="P19" s="9"/>
      <c r="Q19" s="36"/>
    </row>
    <row r="20" spans="1:17" x14ac:dyDescent="0.15">
      <c r="A20" s="13" t="s">
        <v>38</v>
      </c>
      <c r="B20" s="40">
        <f ca="1">TODAY()</f>
        <v>43594</v>
      </c>
      <c r="C20" s="14"/>
      <c r="D20" s="14"/>
      <c r="E20" s="13"/>
      <c r="F20" s="13"/>
      <c r="H20" s="45"/>
      <c r="I20" s="35"/>
      <c r="J20" s="35"/>
      <c r="K20" s="35"/>
      <c r="L20" s="35"/>
      <c r="M20" s="35"/>
      <c r="N20" s="35"/>
      <c r="O20" s="35"/>
      <c r="P20" s="35"/>
      <c r="Q20" s="39"/>
    </row>
    <row r="21" spans="1:17" x14ac:dyDescent="0.15">
      <c r="A21" s="13"/>
      <c r="B21" s="13"/>
      <c r="C21" s="13"/>
      <c r="D21" s="13"/>
      <c r="E21" s="13"/>
      <c r="F21" s="13"/>
      <c r="L21" s="3"/>
      <c r="M21" s="5"/>
      <c r="N21" s="4"/>
      <c r="O21" s="4"/>
      <c r="P21" s="4"/>
      <c r="Q21" s="6"/>
    </row>
    <row r="22" spans="1:17" x14ac:dyDescent="0.15">
      <c r="A22" s="13"/>
      <c r="B22" s="13"/>
      <c r="C22" s="13"/>
      <c r="D22" s="13"/>
      <c r="E22" s="13"/>
      <c r="F22" s="13"/>
      <c r="L22" s="7"/>
      <c r="M22" s="9" t="s">
        <v>70</v>
      </c>
      <c r="N22" s="8"/>
      <c r="O22" s="8"/>
      <c r="P22" s="8"/>
      <c r="Q22" s="37"/>
    </row>
    <row r="23" spans="1:17" x14ac:dyDescent="0.15">
      <c r="A23" s="53" t="s">
        <v>28</v>
      </c>
      <c r="B23" s="54"/>
      <c r="C23" s="54"/>
      <c r="D23" s="54"/>
      <c r="E23" s="54"/>
      <c r="F23" s="54"/>
      <c r="L23" s="7"/>
      <c r="M23" s="9"/>
      <c r="N23" s="8"/>
      <c r="O23" s="8"/>
      <c r="P23" s="8"/>
      <c r="Q23" s="10"/>
    </row>
    <row r="24" spans="1:17" x14ac:dyDescent="0.15">
      <c r="A24" s="13" t="s">
        <v>5</v>
      </c>
      <c r="B24" s="47">
        <v>928</v>
      </c>
      <c r="C24" s="13" t="s">
        <v>57</v>
      </c>
      <c r="D24" s="13"/>
      <c r="E24" s="13"/>
      <c r="F24" s="13"/>
      <c r="L24" s="7"/>
      <c r="M24" s="9" t="s">
        <v>8</v>
      </c>
      <c r="N24" s="9" t="s">
        <v>2</v>
      </c>
      <c r="O24" s="9"/>
      <c r="P24" s="9"/>
      <c r="Q24" s="36"/>
    </row>
    <row r="25" spans="1:17" x14ac:dyDescent="0.15">
      <c r="A25" s="13" t="s">
        <v>6</v>
      </c>
      <c r="B25" s="48">
        <v>2315</v>
      </c>
      <c r="C25" s="13" t="s">
        <v>57</v>
      </c>
      <c r="D25" s="13"/>
      <c r="E25" s="13"/>
      <c r="F25" s="15"/>
      <c r="L25" s="7"/>
      <c r="M25" s="9" t="s">
        <v>7</v>
      </c>
      <c r="N25" s="9">
        <v>38</v>
      </c>
      <c r="O25" s="9">
        <v>54</v>
      </c>
      <c r="P25" s="9">
        <v>67</v>
      </c>
      <c r="Q25" s="36">
        <v>80</v>
      </c>
    </row>
    <row r="26" spans="1:17" x14ac:dyDescent="0.15">
      <c r="A26" s="13" t="s">
        <v>7</v>
      </c>
      <c r="B26" s="48">
        <v>54</v>
      </c>
      <c r="C26" s="13" t="s">
        <v>57</v>
      </c>
      <c r="D26" s="13"/>
      <c r="E26" s="13"/>
      <c r="F26" s="15"/>
      <c r="L26" s="7"/>
      <c r="M26" s="9" t="s">
        <v>64</v>
      </c>
      <c r="N26" s="9">
        <v>2.37</v>
      </c>
      <c r="O26" s="9">
        <v>2.06</v>
      </c>
      <c r="P26" s="9">
        <v>1.68</v>
      </c>
      <c r="Q26" s="36">
        <v>1.43</v>
      </c>
    </row>
    <row r="27" spans="1:17" x14ac:dyDescent="0.15">
      <c r="A27" s="13" t="s">
        <v>8</v>
      </c>
      <c r="B27" s="49" t="s">
        <v>2</v>
      </c>
      <c r="C27" s="13"/>
      <c r="D27" s="13"/>
      <c r="E27" s="13"/>
      <c r="F27" s="13"/>
      <c r="L27" s="7"/>
      <c r="M27" s="9"/>
      <c r="N27" s="9"/>
      <c r="O27" s="9"/>
      <c r="P27" s="9"/>
      <c r="Q27" s="36"/>
    </row>
    <row r="28" spans="1:17" x14ac:dyDescent="0.15">
      <c r="A28" s="13" t="s">
        <v>9</v>
      </c>
      <c r="B28" s="49" t="s">
        <v>10</v>
      </c>
      <c r="C28" s="16" t="str">
        <f>IF(B29="meranti","",IF(B28="30min BRW","Meranti randhout verplicht!",""))</f>
        <v/>
      </c>
      <c r="D28" s="13"/>
      <c r="E28" s="13"/>
      <c r="F28" s="13"/>
      <c r="L28" s="7"/>
      <c r="M28" s="9" t="s">
        <v>8</v>
      </c>
      <c r="N28" s="9" t="s">
        <v>48</v>
      </c>
      <c r="O28" s="9"/>
      <c r="P28" s="9"/>
      <c r="Q28" s="36"/>
    </row>
    <row r="29" spans="1:17" x14ac:dyDescent="0.15">
      <c r="A29" s="13" t="s">
        <v>11</v>
      </c>
      <c r="B29" s="49" t="s">
        <v>1</v>
      </c>
      <c r="C29" s="13"/>
      <c r="D29" s="13"/>
      <c r="E29" s="13"/>
      <c r="F29" s="13"/>
      <c r="L29" s="7"/>
      <c r="M29" s="9" t="s">
        <v>7</v>
      </c>
      <c r="N29" s="9">
        <v>38</v>
      </c>
      <c r="O29" s="9">
        <v>54</v>
      </c>
      <c r="P29" s="9">
        <v>67</v>
      </c>
      <c r="Q29" s="36">
        <v>80</v>
      </c>
    </row>
    <row r="30" spans="1:17" x14ac:dyDescent="0.15">
      <c r="A30" s="13" t="s">
        <v>45</v>
      </c>
      <c r="B30" s="49" t="s">
        <v>47</v>
      </c>
      <c r="C30" s="13"/>
      <c r="D30" s="13"/>
      <c r="E30" s="13"/>
      <c r="F30" s="13"/>
      <c r="L30" s="7"/>
      <c r="M30" s="9" t="s">
        <v>64</v>
      </c>
      <c r="N30" s="9">
        <v>2.5099999999999998</v>
      </c>
      <c r="O30" s="9">
        <v>2.16</v>
      </c>
      <c r="P30" s="9">
        <v>1.74</v>
      </c>
      <c r="Q30" s="36">
        <v>1.48</v>
      </c>
    </row>
    <row r="31" spans="1:17" x14ac:dyDescent="0.15">
      <c r="A31" s="13" t="s">
        <v>46</v>
      </c>
      <c r="B31" s="49" t="s">
        <v>47</v>
      </c>
      <c r="C31" s="13"/>
      <c r="D31" s="13"/>
      <c r="E31" s="13"/>
      <c r="F31" s="13"/>
      <c r="L31" s="7"/>
      <c r="M31" s="9"/>
      <c r="N31" s="9"/>
      <c r="O31" s="9"/>
      <c r="P31" s="9"/>
      <c r="Q31" s="36"/>
    </row>
    <row r="32" spans="1:17" x14ac:dyDescent="0.15">
      <c r="A32" s="13"/>
      <c r="B32" s="17"/>
      <c r="C32" s="13"/>
      <c r="D32" s="13"/>
      <c r="E32" s="18"/>
      <c r="F32" s="13"/>
      <c r="L32" s="7"/>
      <c r="M32" s="9" t="s">
        <v>65</v>
      </c>
      <c r="N32" s="9"/>
      <c r="O32" s="9"/>
      <c r="P32" s="9"/>
      <c r="Q32" s="36"/>
    </row>
    <row r="33" spans="1:21" x14ac:dyDescent="0.15">
      <c r="A33" s="13"/>
      <c r="B33" s="13"/>
      <c r="C33" s="13"/>
      <c r="D33" s="13"/>
      <c r="E33" s="13"/>
      <c r="F33" s="13"/>
      <c r="L33" s="7"/>
      <c r="M33" s="9">
        <f>B26</f>
        <v>54</v>
      </c>
      <c r="N33" s="9"/>
      <c r="O33" s="9"/>
      <c r="P33" s="9"/>
      <c r="Q33" s="36"/>
    </row>
    <row r="34" spans="1:21" x14ac:dyDescent="0.15">
      <c r="A34" s="53" t="s">
        <v>25</v>
      </c>
      <c r="B34" s="54"/>
      <c r="C34" s="54"/>
      <c r="D34" s="54"/>
      <c r="E34" s="54"/>
      <c r="F34" s="54"/>
      <c r="L34" s="7"/>
      <c r="M34" s="9"/>
      <c r="N34" s="9"/>
      <c r="O34" s="9"/>
      <c r="P34" s="9"/>
      <c r="Q34" s="36"/>
    </row>
    <row r="35" spans="1:21" x14ac:dyDescent="0.15">
      <c r="A35" s="17"/>
      <c r="B35" s="19" t="s">
        <v>24</v>
      </c>
      <c r="C35" s="19" t="s">
        <v>53</v>
      </c>
      <c r="D35" s="19" t="s">
        <v>52</v>
      </c>
      <c r="E35" s="19" t="s">
        <v>50</v>
      </c>
      <c r="F35" s="19" t="s">
        <v>51</v>
      </c>
      <c r="L35" s="7"/>
      <c r="M35" s="9" t="s">
        <v>66</v>
      </c>
      <c r="N35" s="9"/>
      <c r="O35" s="9" t="s">
        <v>67</v>
      </c>
      <c r="P35" s="9"/>
      <c r="Q35" s="36"/>
    </row>
    <row r="36" spans="1:21" x14ac:dyDescent="0.15">
      <c r="A36" s="17" t="s">
        <v>60</v>
      </c>
      <c r="B36" s="50">
        <v>0</v>
      </c>
      <c r="C36" s="50">
        <v>0</v>
      </c>
      <c r="D36" s="17"/>
      <c r="E36" s="20">
        <f>B36*(PI()*(0.5*C36/1000)^2)</f>
        <v>0</v>
      </c>
      <c r="F36" s="20">
        <f>IF(B36=0,0,B36*2*PI()*(0.5*C36/1000))</f>
        <v>0</v>
      </c>
      <c r="L36" s="7"/>
      <c r="M36" s="9">
        <f>HLOOKUP(M33,N25:Q26,2)</f>
        <v>2.06</v>
      </c>
      <c r="N36" s="9"/>
      <c r="O36" s="9">
        <f>HLOOKUP(M33,N29:Q30,2)</f>
        <v>2.16</v>
      </c>
      <c r="P36" s="9"/>
      <c r="Q36" s="36"/>
    </row>
    <row r="37" spans="1:21" x14ac:dyDescent="0.15">
      <c r="A37" s="17"/>
      <c r="B37" s="17"/>
      <c r="C37" s="17"/>
      <c r="D37" s="17"/>
      <c r="E37" s="20"/>
      <c r="F37" s="20"/>
      <c r="L37" s="7"/>
      <c r="M37" s="9"/>
      <c r="N37" s="9"/>
      <c r="O37" s="9"/>
      <c r="P37" s="9"/>
      <c r="Q37" s="36"/>
    </row>
    <row r="38" spans="1:21" x14ac:dyDescent="0.15">
      <c r="A38" s="17" t="s">
        <v>61</v>
      </c>
      <c r="B38" s="51">
        <v>0</v>
      </c>
      <c r="C38" s="51">
        <v>0</v>
      </c>
      <c r="D38" s="51">
        <v>0</v>
      </c>
      <c r="E38" s="20">
        <f>B38*(C38*D38/1000000)</f>
        <v>0</v>
      </c>
      <c r="F38" s="20">
        <f>B38*((C38*2+D38*2)/1000)</f>
        <v>0</v>
      </c>
      <c r="L38" s="7"/>
      <c r="M38" s="9" t="s">
        <v>68</v>
      </c>
      <c r="N38" s="9"/>
      <c r="O38" s="9"/>
      <c r="P38" s="9"/>
      <c r="Q38" s="36"/>
    </row>
    <row r="39" spans="1:21" x14ac:dyDescent="0.15">
      <c r="A39" s="17" t="s">
        <v>61</v>
      </c>
      <c r="B39" s="46">
        <v>0</v>
      </c>
      <c r="C39" s="46">
        <v>0</v>
      </c>
      <c r="D39" s="46">
        <v>0</v>
      </c>
      <c r="E39" s="20">
        <f>B39*(C39*D39/1000000)</f>
        <v>0</v>
      </c>
      <c r="F39" s="20">
        <f>B39*((C39*2+D39*2)/1000)</f>
        <v>0</v>
      </c>
      <c r="L39" s="12"/>
      <c r="M39" s="35">
        <f>IF(B27="Tricoya",M36,O36)</f>
        <v>2.06</v>
      </c>
      <c r="N39" s="35"/>
      <c r="O39" s="35"/>
      <c r="P39" s="35"/>
      <c r="Q39" s="39"/>
    </row>
    <row r="40" spans="1:21" x14ac:dyDescent="0.15">
      <c r="A40" s="17"/>
      <c r="B40" s="16" t="str">
        <f>IF(D52&gt;P9,"let op: glas past niet in de deur, wijziging noodzakelijk","")</f>
        <v/>
      </c>
      <c r="C40" s="17"/>
      <c r="D40" s="17"/>
      <c r="E40" s="17"/>
      <c r="F40" s="17"/>
      <c r="K40" s="8"/>
      <c r="L40" s="8"/>
    </row>
    <row r="41" spans="1:21" x14ac:dyDescent="0.15">
      <c r="A41" s="17" t="s">
        <v>41</v>
      </c>
      <c r="B41" s="52">
        <v>1.1000000000000001</v>
      </c>
      <c r="C41" s="21" t="s">
        <v>62</v>
      </c>
      <c r="D41" s="17"/>
      <c r="E41" s="17"/>
      <c r="F41" s="17"/>
      <c r="H41" s="8"/>
      <c r="K41" s="8"/>
      <c r="L41" s="8"/>
    </row>
    <row r="42" spans="1:21" x14ac:dyDescent="0.15">
      <c r="A42" s="17" t="s">
        <v>42</v>
      </c>
      <c r="B42" s="46">
        <v>0.08</v>
      </c>
      <c r="C42" s="21" t="s">
        <v>63</v>
      </c>
      <c r="D42" s="17" t="str">
        <f>VLOOKUP(B42,P4:Q5,2,FALSE)</f>
        <v>standaard aluminium</v>
      </c>
      <c r="E42" s="17"/>
      <c r="F42" s="17"/>
      <c r="H42" s="8"/>
      <c r="K42" s="8"/>
      <c r="L42" s="8"/>
    </row>
    <row r="43" spans="1:21" x14ac:dyDescent="0.15">
      <c r="A43" s="13"/>
      <c r="B43" s="13"/>
      <c r="C43" s="13"/>
      <c r="D43" s="13"/>
      <c r="E43" s="13"/>
      <c r="F43" s="13"/>
      <c r="H43" s="8"/>
      <c r="K43" s="8"/>
      <c r="L43" s="8"/>
    </row>
    <row r="44" spans="1:21" x14ac:dyDescent="0.15">
      <c r="A44" s="13"/>
      <c r="B44" s="13"/>
      <c r="C44" s="13"/>
      <c r="D44" s="13"/>
      <c r="E44" s="13"/>
      <c r="F44" s="13"/>
      <c r="H44" s="8"/>
      <c r="I44" s="8"/>
      <c r="K44" s="8"/>
      <c r="L44" s="8"/>
      <c r="S44" s="2"/>
      <c r="T44" s="2"/>
      <c r="U44" s="2"/>
    </row>
    <row r="45" spans="1:21" x14ac:dyDescent="0.15">
      <c r="A45" s="53" t="s">
        <v>30</v>
      </c>
      <c r="B45" s="54"/>
      <c r="C45" s="54"/>
      <c r="D45" s="54"/>
      <c r="E45" s="54"/>
      <c r="F45" s="54"/>
      <c r="H45" s="8"/>
      <c r="I45" s="8"/>
      <c r="K45" s="8"/>
      <c r="L45" s="8"/>
    </row>
    <row r="46" spans="1:21" x14ac:dyDescent="0.15">
      <c r="A46" s="17"/>
      <c r="B46" s="17"/>
      <c r="C46" s="17"/>
      <c r="D46" s="19" t="s">
        <v>50</v>
      </c>
      <c r="E46" s="22" t="s">
        <v>49</v>
      </c>
      <c r="F46" s="19" t="s">
        <v>21</v>
      </c>
      <c r="H46" s="34" t="s">
        <v>16</v>
      </c>
      <c r="I46" s="8"/>
      <c r="J46" s="8"/>
      <c r="K46" s="8"/>
      <c r="L46" s="8"/>
    </row>
    <row r="47" spans="1:21" x14ac:dyDescent="0.15">
      <c r="A47" s="17" t="s">
        <v>4</v>
      </c>
      <c r="B47" s="17"/>
      <c r="C47" s="23">
        <v>48</v>
      </c>
      <c r="D47" s="20">
        <f>((B25-C49-C50)*C47)/1000000</f>
        <v>0.106512</v>
      </c>
      <c r="E47" s="20">
        <f>1/H47</f>
        <v>1.6522741040778266</v>
      </c>
      <c r="F47" s="20">
        <f t="shared" ref="F47:F52" si="0">D47*E47</f>
        <v>0.17598701937353747</v>
      </c>
      <c r="H47" s="32">
        <f>M11+M4+M14</f>
        <v>0.60522645578720347</v>
      </c>
      <c r="I47" s="8"/>
      <c r="K47" s="8"/>
      <c r="L47" s="8"/>
    </row>
    <row r="48" spans="1:21" x14ac:dyDescent="0.15">
      <c r="A48" s="17" t="s">
        <v>22</v>
      </c>
      <c r="B48" s="17"/>
      <c r="C48" s="23">
        <v>110</v>
      </c>
      <c r="D48" s="20">
        <f>((B25-C49-C50)*C48)/1000000</f>
        <v>0.24409</v>
      </c>
      <c r="E48" s="20">
        <f>M39</f>
        <v>2.06</v>
      </c>
      <c r="F48" s="20">
        <f t="shared" si="0"/>
        <v>0.50282539999999998</v>
      </c>
      <c r="H48" s="32"/>
      <c r="I48" s="8"/>
      <c r="K48" s="8"/>
      <c r="L48" s="8"/>
    </row>
    <row r="49" spans="1:12" x14ac:dyDescent="0.15">
      <c r="A49" s="17" t="s">
        <v>13</v>
      </c>
      <c r="B49" s="17"/>
      <c r="C49" s="23">
        <f>IF(B30="ja",101,48)</f>
        <v>48</v>
      </c>
      <c r="D49" s="20">
        <f>B24*C49/1000000</f>
        <v>4.4544E-2</v>
      </c>
      <c r="E49" s="20">
        <f>1/H49</f>
        <v>1.6522741040778266</v>
      </c>
      <c r="F49" s="20">
        <f t="shared" si="0"/>
        <v>7.3598897692042711E-2</v>
      </c>
      <c r="H49" s="32">
        <f>H47</f>
        <v>0.60522645578720347</v>
      </c>
      <c r="I49" s="8"/>
      <c r="J49" s="8"/>
      <c r="K49" s="8"/>
      <c r="L49" s="8"/>
    </row>
    <row r="50" spans="1:12" x14ac:dyDescent="0.15">
      <c r="A50" s="17" t="s">
        <v>14</v>
      </c>
      <c r="B50" s="17"/>
      <c r="C50" s="23">
        <f>IF(B31="ja",101,48)</f>
        <v>48</v>
      </c>
      <c r="D50" s="20">
        <f>B24*C50/1000000</f>
        <v>4.4544E-2</v>
      </c>
      <c r="E50" s="20">
        <f>1/H50</f>
        <v>1.6522741040778266</v>
      </c>
      <c r="F50" s="20">
        <f t="shared" si="0"/>
        <v>7.3598897692042711E-2</v>
      </c>
      <c r="H50" s="32">
        <f>H47</f>
        <v>0.60522645578720347</v>
      </c>
      <c r="I50" s="8"/>
      <c r="K50" s="8"/>
      <c r="L50" s="8"/>
    </row>
    <row r="51" spans="1:12" x14ac:dyDescent="0.15">
      <c r="A51" s="17" t="s">
        <v>12</v>
      </c>
      <c r="B51" s="17"/>
      <c r="C51" s="24">
        <v>1</v>
      </c>
      <c r="D51" s="20">
        <f>((B24-C47-C48)*(B25-C49-C50)/1000000)-D52</f>
        <v>1.7086300000000001</v>
      </c>
      <c r="E51" s="20">
        <f>1/H51</f>
        <v>0.65900305409331827</v>
      </c>
      <c r="F51" s="20">
        <f t="shared" si="0"/>
        <v>1.1259923883154666</v>
      </c>
      <c r="H51" s="33">
        <f>M11+M7+M14</f>
        <v>1.5174436503573392</v>
      </c>
      <c r="I51" s="8"/>
    </row>
    <row r="52" spans="1:12" x14ac:dyDescent="0.15">
      <c r="A52" s="17" t="s">
        <v>15</v>
      </c>
      <c r="B52" s="17"/>
      <c r="C52" s="25" t="str">
        <f>IF(SUM(B36:B39)=0,"geen",SUM(B36:B39))</f>
        <v>geen</v>
      </c>
      <c r="D52" s="26">
        <f>SUM(E36:E39)</f>
        <v>0</v>
      </c>
      <c r="E52" s="20">
        <f>IF(C52="geen",0,B41)</f>
        <v>0</v>
      </c>
      <c r="F52" s="26">
        <f t="shared" si="0"/>
        <v>0</v>
      </c>
      <c r="H52" s="8"/>
    </row>
    <row r="53" spans="1:12" x14ac:dyDescent="0.15">
      <c r="A53" s="13"/>
      <c r="B53" s="13"/>
      <c r="C53" s="13"/>
      <c r="D53" s="20">
        <f>SUM(D47:D52)</f>
        <v>2.14832</v>
      </c>
      <c r="E53" s="15"/>
      <c r="F53" s="20">
        <f>SUM(F47:F52)</f>
        <v>1.9520026030730895</v>
      </c>
      <c r="H53" s="8"/>
    </row>
    <row r="54" spans="1:12" x14ac:dyDescent="0.15">
      <c r="A54" s="13"/>
      <c r="B54" s="13"/>
      <c r="C54" s="13"/>
      <c r="D54" s="13"/>
      <c r="E54" s="13"/>
      <c r="F54" s="13"/>
      <c r="H54" s="8"/>
    </row>
    <row r="55" spans="1:12" x14ac:dyDescent="0.15">
      <c r="A55" s="13"/>
      <c r="B55" s="13"/>
      <c r="C55" s="27"/>
      <c r="D55" s="13"/>
      <c r="E55" s="13"/>
      <c r="F55" s="13"/>
      <c r="H55" s="8"/>
    </row>
    <row r="56" spans="1:12" x14ac:dyDescent="0.15">
      <c r="A56" s="53" t="s">
        <v>31</v>
      </c>
      <c r="B56" s="54"/>
      <c r="C56" s="54"/>
      <c r="D56" s="54"/>
      <c r="E56" s="54"/>
      <c r="F56" s="54"/>
    </row>
    <row r="57" spans="1:12" x14ac:dyDescent="0.15">
      <c r="A57" s="13"/>
      <c r="B57" s="13"/>
      <c r="C57" s="13"/>
      <c r="D57" s="28" t="s">
        <v>54</v>
      </c>
      <c r="E57" s="28" t="s">
        <v>26</v>
      </c>
      <c r="F57" s="19" t="s">
        <v>27</v>
      </c>
    </row>
    <row r="58" spans="1:12" x14ac:dyDescent="0.15">
      <c r="A58" s="13"/>
      <c r="B58" s="13"/>
      <c r="C58" s="13"/>
      <c r="D58" s="20">
        <f>SUM(F36:F39)</f>
        <v>0</v>
      </c>
      <c r="E58" s="20">
        <f>IF(D58=0,0,B42)</f>
        <v>0</v>
      </c>
      <c r="F58" s="20">
        <f>D58*E58</f>
        <v>0</v>
      </c>
    </row>
    <row r="59" spans="1:12" x14ac:dyDescent="0.15">
      <c r="A59" s="13"/>
      <c r="B59" s="13"/>
      <c r="C59" s="13"/>
      <c r="D59" s="29"/>
      <c r="E59" s="13"/>
      <c r="F59" s="13"/>
    </row>
    <row r="60" spans="1:12" x14ac:dyDescent="0.15">
      <c r="A60" s="13"/>
      <c r="B60" s="13"/>
      <c r="C60" s="13"/>
      <c r="D60" s="29"/>
      <c r="E60" s="13"/>
      <c r="F60" s="13"/>
    </row>
    <row r="61" spans="1:12" x14ac:dyDescent="0.15">
      <c r="A61" s="53" t="s">
        <v>32</v>
      </c>
      <c r="B61" s="54"/>
      <c r="C61" s="54"/>
      <c r="D61" s="54"/>
      <c r="E61" s="54"/>
      <c r="F61" s="54"/>
    </row>
    <row r="62" spans="1:12" ht="18" x14ac:dyDescent="0.25">
      <c r="A62" s="30" t="s">
        <v>43</v>
      </c>
      <c r="B62" s="31">
        <f>(F53+F58)/D53</f>
        <v>0.90861817749361806</v>
      </c>
      <c r="C62" s="13" t="s">
        <v>56</v>
      </c>
      <c r="D62" s="13"/>
      <c r="E62" s="13"/>
      <c r="F62" s="13"/>
    </row>
    <row r="63" spans="1:12" x14ac:dyDescent="0.15">
      <c r="A63" s="30" t="s">
        <v>44</v>
      </c>
      <c r="B63" s="15">
        <f>B24*B25/1000000</f>
        <v>2.14832</v>
      </c>
      <c r="C63" s="13" t="s">
        <v>55</v>
      </c>
      <c r="D63" s="18"/>
      <c r="E63" s="13"/>
      <c r="F63" s="13"/>
    </row>
  </sheetData>
  <sheetProtection algorithmName="SHA-512" hashValue="z8JFdEtM0kwZtSoS5MoTe1KucE/WKKqOzduGC33fQ9kxt8S0h1sxbCksThfDqJW8xvs3xUehylGFw9DlpyjaBg==" saltValue="Lro/cI5I9qlv/jDZXfUYFQ==" spinCount="100000" sheet="1" objects="1" scenarios="1" selectLockedCells="1"/>
  <mergeCells count="3">
    <mergeCell ref="B17:D17"/>
    <mergeCell ref="B18:D18"/>
    <mergeCell ref="B19:D19"/>
  </mergeCells>
  <dataValidations count="8">
    <dataValidation type="list" allowBlank="1" showInputMessage="1" showErrorMessage="1" sqref="B30:B31" xr:uid="{1E5FC3E0-CDB7-4C9B-97A8-A2DC51A8E22C}">
      <formula1>"nee,ja"</formula1>
    </dataValidation>
    <dataValidation type="whole" allowBlank="1" showInputMessage="1" showErrorMessage="1" errorTitle="Foutieve invoer" error="Voer uitsluitend cijfers in + maximale deurhoogte is 2600mm" sqref="B25" xr:uid="{BFC3A51D-FA4B-40F9-8597-2136BD4FF150}">
      <formula1>0</formula1>
      <formula2>2600</formula2>
    </dataValidation>
    <dataValidation type="whole" allowBlank="1" showInputMessage="1" showErrorMessage="1" errorTitle="Foutieve invoer" error="Voer uitsluitend cijfers in + maximale deurbreedte is 1250mm" sqref="B24" xr:uid="{CBFD5D00-6AD8-46A6-B78F-187E67899609}">
      <formula1>0</formula1>
      <formula2>1250</formula2>
    </dataValidation>
    <dataValidation type="list" allowBlank="1" showInputMessage="1" showErrorMessage="1" sqref="B26" xr:uid="{724A1DC9-A869-40E0-8F66-C1C3D8F6A45A}">
      <formula1>$H$4:$H$7</formula1>
    </dataValidation>
    <dataValidation type="list" allowBlank="1" showInputMessage="1" showErrorMessage="1" sqref="B29" xr:uid="{8AC8C1CF-3B21-4AED-94A8-3777F60028E6}">
      <formula1>$J$4:$J$5</formula1>
    </dataValidation>
    <dataValidation type="list" allowBlank="1" showInputMessage="1" showErrorMessage="1" sqref="B42" xr:uid="{1A8C6DF8-DA09-4BFC-80B5-EF6E409C4906}">
      <formula1>$P$4:$P$5</formula1>
    </dataValidation>
    <dataValidation type="list" allowBlank="1" showInputMessage="1" showErrorMessage="1" sqref="B28" xr:uid="{0B2C2974-BFA8-4A2C-83C7-2281379B157C}">
      <formula1>$J$8:$J$9</formula1>
    </dataValidation>
    <dataValidation type="list" allowBlank="1" showInputMessage="1" showErrorMessage="1" sqref="B27" xr:uid="{14E998E6-01C6-4F81-9164-BF878B2E458D}">
      <formula1>$J$12:$J$13</formula1>
    </dataValidation>
  </dataValidations>
  <pageMargins left="0.7" right="0.7" top="0.75" bottom="0.75" header="0.3" footer="0.3"/>
  <pageSetup paperSize="9" orientation="portrait" r:id="rId1"/>
  <ignoredErrors>
    <ignoredError sqref="E4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Matthijs Mulckhuijse</dc:creator>
  <cp:lastModifiedBy>Matthijs Mulckhuijse</cp:lastModifiedBy>
  <cp:lastPrinted>2019-05-09T07:46:21Z</cp:lastPrinted>
  <dcterms:created xsi:type="dcterms:W3CDTF">2019-01-30T12:49:44Z</dcterms:created>
  <dcterms:modified xsi:type="dcterms:W3CDTF">2019-05-09T07:46:33Z</dcterms:modified>
</cp:coreProperties>
</file>